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01 DDC Pandemic\2022-2023 Projects\MOT Spring\Concrete CBA.2\"/>
    </mc:Choice>
  </mc:AlternateContent>
  <xr:revisionPtr revIDLastSave="0" documentId="8_{6A196AD9-9CFD-45D0-A0F9-A290D3F18BAE}" xr6:coauthVersionLast="47" xr6:coauthVersionMax="47" xr10:uidLastSave="{00000000-0000-0000-0000-000000000000}"/>
  <bookViews>
    <workbookView xWindow="2160" yWindow="2160" windowWidth="22740" windowHeight="13350" xr2:uid="{00000000-000D-0000-FFFF-FFFF00000000}"/>
  </bookViews>
  <sheets>
    <sheet name="Environment Model-Dollar" sheetId="1" r:id="rId1"/>
    <sheet name="Environment Model-Emission" sheetId="2" r:id="rId2"/>
    <sheet name="Description" sheetId="3" r:id="rId3"/>
  </sheets>
  <definedNames>
    <definedName name="solver_adj" localSheetId="0">'Environment Model-Dollar'!$F$4:$F$12</definedName>
    <definedName name="solver_lhs1" localSheetId="0">'Environment Model-Dollar'!$F$12</definedName>
    <definedName name="solver_lhs2" localSheetId="0">'Environment Model-Dollar'!$F$7</definedName>
    <definedName name="solver_opt" localSheetId="0">'Environment Model-Dollar'!$F$16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1" i="3" l="1"/>
  <c r="C54" i="3" s="1"/>
  <c r="C56" i="3" s="1"/>
  <c r="C42" i="3"/>
  <c r="C60" i="3" s="1"/>
  <c r="C38" i="3"/>
  <c r="C32" i="3"/>
  <c r="C34" i="3" s="1"/>
  <c r="C30" i="3"/>
  <c r="F17" i="2"/>
  <c r="C17" i="2"/>
  <c r="C11" i="2"/>
  <c r="C13" i="2" s="1"/>
  <c r="F10" i="2"/>
  <c r="F9" i="2"/>
  <c r="F13" i="2" s="1"/>
  <c r="F15" i="2" s="1"/>
  <c r="C9" i="2"/>
  <c r="F4" i="2"/>
  <c r="C22" i="1"/>
  <c r="C14" i="1"/>
  <c r="C16" i="1" s="1"/>
  <c r="F13" i="1"/>
  <c r="F4" i="1"/>
  <c r="F22" i="1" s="1"/>
  <c r="F27" i="2" l="1"/>
  <c r="F24" i="2"/>
  <c r="F22" i="2"/>
  <c r="F26" i="2"/>
  <c r="F25" i="2"/>
  <c r="F23" i="2"/>
  <c r="C25" i="2"/>
  <c r="C23" i="2"/>
  <c r="C24" i="2"/>
  <c r="C22" i="2"/>
  <c r="C15" i="2"/>
  <c r="C38" i="1"/>
  <c r="C36" i="1"/>
  <c r="C34" i="1"/>
  <c r="C32" i="1"/>
  <c r="C37" i="1"/>
  <c r="C35" i="1"/>
  <c r="C33" i="1"/>
  <c r="C31" i="1"/>
  <c r="C18" i="1"/>
  <c r="F16" i="1"/>
  <c r="F18" i="1" s="1"/>
  <c r="F38" i="1" l="1"/>
  <c r="F36" i="1"/>
  <c r="F34" i="1"/>
  <c r="F32" i="1"/>
  <c r="F40" i="1"/>
  <c r="F37" i="1"/>
  <c r="F35" i="1"/>
  <c r="F33" i="1"/>
  <c r="F31" i="1"/>
  <c r="F39" i="1"/>
</calcChain>
</file>

<file path=xl/sharedStrings.xml><?xml version="1.0" encoding="utf-8"?>
<sst xmlns="http://schemas.openxmlformats.org/spreadsheetml/2006/main" count="237" uniqueCount="75">
  <si>
    <t>Standard Process Variables</t>
  </si>
  <si>
    <t>Standard Process Value</t>
  </si>
  <si>
    <t>Units</t>
  </si>
  <si>
    <t>Recycled Process Variables</t>
  </si>
  <si>
    <t>Recycled Process Value</t>
  </si>
  <si>
    <t xml:space="preserve">Type </t>
  </si>
  <si>
    <t>Total Distance in the Process</t>
  </si>
  <si>
    <t>Miles</t>
  </si>
  <si>
    <t>Distance between JH to Wash Tech</t>
  </si>
  <si>
    <t>Variable</t>
  </si>
  <si>
    <t>Amount of CDW</t>
  </si>
  <si>
    <t>Tons</t>
  </si>
  <si>
    <t>Amount of Material allowed in a Truck</t>
  </si>
  <si>
    <t>Fuel Cost</t>
  </si>
  <si>
    <t>$/Gallon</t>
  </si>
  <si>
    <t>Constant</t>
  </si>
  <si>
    <t>Truck Mileage</t>
  </si>
  <si>
    <t>Miles/Gallon</t>
  </si>
  <si>
    <t>Handling/Tipping</t>
  </si>
  <si>
    <t>$/Ton</t>
  </si>
  <si>
    <t>Tipping/Disposal fee</t>
  </si>
  <si>
    <t>Landfilling and Disposal</t>
  </si>
  <si>
    <t>Rent of Trucks</t>
  </si>
  <si>
    <t>$/hour</t>
  </si>
  <si>
    <t>Rent of Truck</t>
  </si>
  <si>
    <t>Speed of trucks with 22 tons loaded</t>
  </si>
  <si>
    <t>Miles/Hour</t>
  </si>
  <si>
    <t>Speed of trucks with 40 tons loaded</t>
  </si>
  <si>
    <t>Truck Speed</t>
  </si>
  <si>
    <t>Distance between Wash Tech to Rock Plan</t>
  </si>
  <si>
    <t>Mile</t>
  </si>
  <si>
    <t>Total Transportation Cost</t>
  </si>
  <si>
    <t>Percent of Sand got from Soil</t>
  </si>
  <si>
    <t>Output</t>
  </si>
  <si>
    <t>Total Transportation Cost/Ton</t>
  </si>
  <si>
    <t>Total Savings/Ton between  2 methods</t>
  </si>
  <si>
    <t>Total Savings/Ton</t>
  </si>
  <si>
    <t>Total Cost of Process</t>
  </si>
  <si>
    <t>Fuel + Tipping/Disposal + Truck Rent</t>
  </si>
  <si>
    <t>Fuel1 + Tipping1 + Truck Rent1 + Fuel2 + Truck Rent2 + Tipping2</t>
  </si>
  <si>
    <t>Trucks carrying heavier loads will consume more fuel to travel the same distance, and they will also typically travel at lower speeds.</t>
  </si>
  <si>
    <t>Sensitivity Analysis</t>
  </si>
  <si>
    <t>Distance_1</t>
  </si>
  <si>
    <t>Tipping/Disposal</t>
  </si>
  <si>
    <t>Distance_2</t>
  </si>
  <si>
    <t>According to the U.S. Environmental Protection Agency (EPA), diesel fuel produces approximately 0.43 kg of CO2 emissions per liter.</t>
  </si>
  <si>
    <t>CO2 emission</t>
  </si>
  <si>
    <t>Kg/Liter</t>
  </si>
  <si>
    <t>Kg/Gallon</t>
  </si>
  <si>
    <t>CO2 emission/Liter</t>
  </si>
  <si>
    <t>Distance betwee Wash Tech to Rock Plan</t>
  </si>
  <si>
    <t>CO2 emission/Gallon</t>
  </si>
  <si>
    <t>Total GHG emission</t>
  </si>
  <si>
    <t>Total GHG emission/Ton</t>
  </si>
  <si>
    <t>Saved emission/Ton</t>
  </si>
  <si>
    <t>CDW amount seems does not effect total emission becasue adding 1T to 6.1T would not affect the number of trucks in our case.</t>
  </si>
  <si>
    <t>Amount of Material allowed seems does not effect total emission becasue adding 1T of allowance to 40T wouldn't affect the number of trucks in our case.</t>
  </si>
  <si>
    <t>Description</t>
  </si>
  <si>
    <t>Distance of complete journey in the process in miles (assumes empty return trip)</t>
  </si>
  <si>
    <t>As per the state regulations, amount of material allowed in the truck in number of tons</t>
  </si>
  <si>
    <t>Cost of fuel at the time in $ per Gallon</t>
  </si>
  <si>
    <t>Number of miles the truck travels per gallon of fuel</t>
  </si>
  <si>
    <t>Handing and/or tipping fees in the process if any</t>
  </si>
  <si>
    <t>Cost incurred for landfilling per ton</t>
  </si>
  <si>
    <t>Cost incurred to rent the truck per hour at the day</t>
  </si>
  <si>
    <t>Details</t>
  </si>
  <si>
    <t>Jamaica Hospital to Hazelton, PA - Return Trip</t>
  </si>
  <si>
    <t>As per Pennsylvania State Regulations</t>
  </si>
  <si>
    <t>According to the Pennsylvania Department of Environmental Protection (DEP), the average cost of landfill tipping fees in Pennsylvania is around $44 per ton. However, this is just an average and the actual cost may vary from one landfill to another.</t>
  </si>
  <si>
    <t>Additionally, Pennsylvania has a disposal fee of $2 per ton of waste, which is collected by the DEP to support programs that help manage and reduce waste in the state. This fee is paid by landfill operators and is often passed on to waste generators in the form of higher tipping fees. We considered as $10 as Handling Fees</t>
  </si>
  <si>
    <t>Speed of truck based on weight it is carrying</t>
  </si>
  <si>
    <t>Distance betwee JH to Wash Tech</t>
  </si>
  <si>
    <t>Jamaica Hospital to 68B Allen Blvd, Farmingdale, NY 11735 = 25.6 Miles. 68B Allen Blvd, Farmingdale, NY 11735 to 505A Grand Street, Westbury, NY  =11.3 Milles. 505A Grand Street, Westbury, NY to Jamaica Hospital = 17.9 Miles. Adding all three 54.8 Miles for round trip</t>
  </si>
  <si>
    <t>As per  New York State Regulations</t>
  </si>
  <si>
    <t>Amount of material used that can be recycled from total waste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</si>
</sst>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scheme val="minor"/>
    </font>
    <font>
      <b/>
      <sz val="12"/>
      <color theme="1"/>
      <name val="Calibri"/>
    </font>
    <font>
      <sz val="11"/>
      <color theme="1"/>
      <name val="Calibri"/>
    </font>
    <font>
      <b/>
      <sz val="11"/>
      <color theme="1"/>
      <name val="Calibri"/>
    </font>
    <font>
      <b/>
      <sz val="11"/>
      <color rgb="FF000000"/>
      <name val="Calibri"/>
    </font>
    <font>
      <sz val="11"/>
      <color theme="1"/>
      <name val="Calibri"/>
      <scheme val="minor"/>
    </font>
    <font>
      <sz val="9"/>
      <color rgb="FF999999"/>
      <name val="Arial"/>
    </font>
    <font>
      <b/>
      <sz val="12"/>
      <color rgb="FFFF0000"/>
      <name val="Calibri"/>
    </font>
    <font>
      <b/>
      <sz val="12"/>
      <color rgb="FF000000"/>
      <name val="Calibri"/>
    </font>
    <font>
      <sz val="11"/>
      <color rgb="FF000000"/>
      <name val="Calibri"/>
    </font>
  </fonts>
  <fills count="9">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D9D2E9"/>
        <bgColor rgb="FFD9D2E9"/>
      </patternFill>
    </fill>
    <fill>
      <patternFill patternType="solid">
        <fgColor rgb="FFFF0000"/>
        <bgColor rgb="FFFF0000"/>
      </patternFill>
    </fill>
    <fill>
      <patternFill patternType="solid">
        <fgColor rgb="FF8EA9DB"/>
        <bgColor rgb="FF8EA9DB"/>
      </patternFill>
    </fill>
    <fill>
      <patternFill patternType="solid">
        <fgColor theme="7"/>
        <bgColor theme="7"/>
      </patternFill>
    </fill>
    <fill>
      <patternFill patternType="solid">
        <fgColor rgb="FFFFC000"/>
        <bgColor rgb="FFFFC000"/>
      </patternFill>
    </fill>
  </fills>
  <borders count="1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54">
    <xf numFmtId="0" fontId="0" fillId="0" borderId="0" xfId="0" applyFont="1" applyAlignment="1"/>
    <xf numFmtId="0" fontId="1" fillId="0" borderId="0" xfId="0" applyFont="1"/>
    <xf numFmtId="0" fontId="1" fillId="0" borderId="1" xfId="0" applyFont="1" applyBorder="1"/>
    <xf numFmtId="0" fontId="2" fillId="0" borderId="2" xfId="0" applyFont="1" applyBorder="1"/>
    <xf numFmtId="0" fontId="2" fillId="2" borderId="3" xfId="0" applyFont="1" applyFill="1" applyBorder="1"/>
    <xf numFmtId="0" fontId="2" fillId="3" borderId="3" xfId="0" applyFont="1" applyFill="1" applyBorder="1"/>
    <xf numFmtId="0" fontId="2" fillId="0" borderId="0" xfId="0" applyFont="1" applyAlignment="1"/>
    <xf numFmtId="0" fontId="2" fillId="0" borderId="0" xfId="0" applyFont="1"/>
    <xf numFmtId="0" fontId="2" fillId="3" borderId="3" xfId="0" applyFont="1" applyFill="1" applyBorder="1" applyAlignment="1"/>
    <xf numFmtId="0" fontId="2" fillId="3" borderId="4" xfId="0" applyFont="1" applyFill="1" applyBorder="1"/>
    <xf numFmtId="0" fontId="2" fillId="3" borderId="5" xfId="0" applyFont="1" applyFill="1" applyBorder="1"/>
    <xf numFmtId="0" fontId="2" fillId="0" borderId="6" xfId="0" applyFont="1" applyBorder="1"/>
    <xf numFmtId="0" fontId="2" fillId="0" borderId="7" xfId="0" applyFont="1" applyBorder="1"/>
    <xf numFmtId="0" fontId="2" fillId="4" borderId="3" xfId="0" applyFont="1" applyFill="1" applyBorder="1"/>
    <xf numFmtId="0" fontId="2" fillId="4" borderId="3" xfId="0" applyFont="1" applyFill="1" applyBorder="1" applyAlignment="1"/>
    <xf numFmtId="0" fontId="3" fillId="5" borderId="3" xfId="0" applyFont="1" applyFill="1" applyBorder="1"/>
    <xf numFmtId="0" fontId="3" fillId="0" borderId="0" xfId="0" applyFont="1"/>
    <xf numFmtId="9" fontId="2" fillId="0" borderId="0" xfId="0" applyNumberFormat="1" applyFont="1" applyAlignment="1"/>
    <xf numFmtId="0" fontId="2" fillId="5" borderId="4" xfId="0" applyFont="1" applyFill="1" applyBorder="1"/>
    <xf numFmtId="0" fontId="3" fillId="5" borderId="5" xfId="0" applyFont="1" applyFill="1" applyBorder="1"/>
    <xf numFmtId="0" fontId="4" fillId="5" borderId="3" xfId="0" applyFont="1" applyFill="1" applyBorder="1" applyAlignment="1">
      <alignment horizontal="left"/>
    </xf>
    <xf numFmtId="0" fontId="2" fillId="5" borderId="8" xfId="0" applyFont="1" applyFill="1" applyBorder="1"/>
    <xf numFmtId="0" fontId="3" fillId="5" borderId="9" xfId="0" applyFont="1" applyFill="1" applyBorder="1"/>
    <xf numFmtId="0" fontId="4" fillId="0" borderId="0" xfId="0" applyFont="1" applyAlignment="1">
      <alignment horizontal="left"/>
    </xf>
    <xf numFmtId="0" fontId="5" fillId="0" borderId="0" xfId="0" applyFont="1"/>
    <xf numFmtId="0" fontId="6" fillId="0" borderId="0" xfId="0" applyFont="1" applyAlignment="1">
      <alignment horizontal="left"/>
    </xf>
    <xf numFmtId="0" fontId="7" fillId="0" borderId="0" xfId="0" applyFont="1"/>
    <xf numFmtId="0" fontId="8" fillId="0" borderId="0" xfId="0" applyFont="1"/>
    <xf numFmtId="0" fontId="9" fillId="0" borderId="0" xfId="0" applyFont="1"/>
    <xf numFmtId="4" fontId="9" fillId="0" borderId="0" xfId="0" applyNumberFormat="1" applyFont="1" applyAlignment="1">
      <alignment horizontal="right"/>
    </xf>
    <xf numFmtId="0" fontId="9" fillId="0" borderId="0" xfId="0" applyFont="1" applyAlignment="1"/>
    <xf numFmtId="0" fontId="9" fillId="6" borderId="0" xfId="0" applyFont="1" applyFill="1"/>
    <xf numFmtId="4" fontId="9" fillId="6" borderId="0" xfId="0" applyNumberFormat="1" applyFont="1" applyFill="1" applyAlignment="1">
      <alignment horizontal="right"/>
    </xf>
    <xf numFmtId="0" fontId="9" fillId="7" borderId="0" xfId="0" applyFont="1" applyFill="1"/>
    <xf numFmtId="4" fontId="9" fillId="7" borderId="0" xfId="0" applyNumberFormat="1" applyFont="1" applyFill="1" applyAlignment="1">
      <alignment horizontal="right"/>
    </xf>
    <xf numFmtId="0" fontId="9" fillId="8" borderId="0" xfId="0" applyFont="1" applyFill="1"/>
    <xf numFmtId="4" fontId="9" fillId="8" borderId="0" xfId="0" applyNumberFormat="1" applyFont="1" applyFill="1" applyAlignment="1">
      <alignment horizontal="right"/>
    </xf>
    <xf numFmtId="0" fontId="5" fillId="0" borderId="0" xfId="0" applyFont="1" applyAlignment="1"/>
    <xf numFmtId="4" fontId="5" fillId="0" borderId="0" xfId="0" applyNumberFormat="1" applyFont="1"/>
    <xf numFmtId="0" fontId="2" fillId="5" borderId="3" xfId="0" applyFont="1" applyFill="1" applyBorder="1"/>
    <xf numFmtId="0" fontId="4" fillId="0" borderId="0" xfId="0" applyFont="1"/>
    <xf numFmtId="4" fontId="4" fillId="0" borderId="0" xfId="0" applyNumberFormat="1" applyFont="1"/>
    <xf numFmtId="0" fontId="9" fillId="8" borderId="3" xfId="0" applyFont="1" applyFill="1" applyBorder="1"/>
    <xf numFmtId="2" fontId="9" fillId="8" borderId="3" xfId="0" applyNumberFormat="1" applyFont="1" applyFill="1" applyBorder="1" applyAlignment="1">
      <alignment horizontal="right"/>
    </xf>
    <xf numFmtId="0" fontId="9" fillId="8" borderId="3" xfId="0" applyFont="1" applyFill="1" applyBorder="1" applyAlignment="1"/>
    <xf numFmtId="4" fontId="9" fillId="8" borderId="3" xfId="0" applyNumberFormat="1" applyFont="1" applyFill="1" applyBorder="1" applyAlignment="1">
      <alignment horizontal="right"/>
    </xf>
    <xf numFmtId="2" fontId="9" fillId="0" borderId="0" xfId="0" applyNumberFormat="1" applyFont="1" applyAlignment="1">
      <alignment horizontal="right"/>
    </xf>
    <xf numFmtId="0" fontId="9" fillId="6" borderId="3" xfId="0" applyFont="1" applyFill="1" applyBorder="1"/>
    <xf numFmtId="2" fontId="9" fillId="6" borderId="3" xfId="0" applyNumberFormat="1" applyFont="1" applyFill="1" applyBorder="1" applyAlignment="1">
      <alignment horizontal="right"/>
    </xf>
    <xf numFmtId="0" fontId="2" fillId="8" borderId="0" xfId="0" applyFont="1" applyFill="1" applyAlignment="1"/>
    <xf numFmtId="4" fontId="2" fillId="8" borderId="0" xfId="0" applyNumberFormat="1" applyFont="1" applyFill="1"/>
    <xf numFmtId="0" fontId="2" fillId="0" borderId="0" xfId="0" applyFont="1" applyAlignment="1"/>
    <xf numFmtId="4" fontId="2" fillId="0" borderId="0" xfId="0" applyNumberFormat="1" applyFont="1"/>
    <xf numFmtId="0" fontId="2"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zoomScale="60" zoomScaleNormal="60" workbookViewId="0"/>
  </sheetViews>
  <sheetFormatPr defaultColWidth="14.42578125" defaultRowHeight="15" customHeight="1" x14ac:dyDescent="0.25"/>
  <cols>
    <col min="1" max="1" width="8.7109375" customWidth="1"/>
    <col min="2" max="2" width="35.140625" customWidth="1"/>
    <col min="3" max="3" width="21.28515625" customWidth="1"/>
    <col min="4" max="4" width="12" customWidth="1"/>
    <col min="5" max="5" width="33.42578125" customWidth="1"/>
    <col min="6" max="6" width="21.140625" customWidth="1"/>
    <col min="7" max="7" width="13.140625" customWidth="1"/>
    <col min="8" max="8" width="10.7109375" customWidth="1"/>
    <col min="9" max="9" width="33.42578125" customWidth="1"/>
    <col min="10" max="11" width="8.7109375" customWidth="1"/>
  </cols>
  <sheetData>
    <row r="1" spans="1:26" ht="14.25" customHeight="1" x14ac:dyDescent="0.25"/>
    <row r="2" spans="1:26" ht="14.25" customHeight="1" x14ac:dyDescent="0.25"/>
    <row r="3" spans="1:26" ht="14.25" customHeight="1" x14ac:dyDescent="0.25">
      <c r="B3" s="1" t="s">
        <v>0</v>
      </c>
      <c r="C3" s="1" t="s">
        <v>1</v>
      </c>
      <c r="D3" s="1" t="s">
        <v>2</v>
      </c>
      <c r="E3" s="1" t="s">
        <v>3</v>
      </c>
      <c r="F3" s="1" t="s">
        <v>4</v>
      </c>
      <c r="G3" s="1" t="s">
        <v>2</v>
      </c>
      <c r="H3" s="2" t="s">
        <v>5</v>
      </c>
      <c r="I3" s="3"/>
      <c r="K3" s="4"/>
    </row>
    <row r="4" spans="1:26" ht="14.25" customHeight="1" x14ac:dyDescent="0.25">
      <c r="B4" s="5" t="s">
        <v>6</v>
      </c>
      <c r="C4" s="6">
        <v>290</v>
      </c>
      <c r="D4" s="7" t="s">
        <v>7</v>
      </c>
      <c r="E4" s="8" t="s">
        <v>8</v>
      </c>
      <c r="F4" s="7">
        <f>25.6*2</f>
        <v>51.2</v>
      </c>
      <c r="G4" s="7" t="s">
        <v>7</v>
      </c>
      <c r="H4" s="9" t="s">
        <v>9</v>
      </c>
      <c r="I4" s="10" t="s">
        <v>6</v>
      </c>
    </row>
    <row r="5" spans="1:26" ht="14.25" customHeight="1" x14ac:dyDescent="0.25">
      <c r="B5" s="5" t="s">
        <v>10</v>
      </c>
      <c r="C5" s="6">
        <v>450000</v>
      </c>
      <c r="D5" s="7" t="s">
        <v>11</v>
      </c>
      <c r="E5" s="5" t="s">
        <v>10</v>
      </c>
      <c r="F5" s="6">
        <v>450000</v>
      </c>
      <c r="G5" s="7" t="s">
        <v>11</v>
      </c>
      <c r="H5" s="9"/>
      <c r="I5" s="10" t="s">
        <v>10</v>
      </c>
    </row>
    <row r="6" spans="1:26" ht="14.25" customHeight="1" x14ac:dyDescent="0.25">
      <c r="B6" s="7" t="s">
        <v>12</v>
      </c>
      <c r="C6" s="6">
        <v>22</v>
      </c>
      <c r="D6" s="7" t="s">
        <v>11</v>
      </c>
      <c r="E6" s="7" t="s">
        <v>12</v>
      </c>
      <c r="F6" s="6">
        <v>38</v>
      </c>
      <c r="G6" s="7" t="s">
        <v>11</v>
      </c>
      <c r="H6" s="11"/>
      <c r="I6" s="12"/>
    </row>
    <row r="7" spans="1:26" ht="14.25" customHeight="1" x14ac:dyDescent="0.25">
      <c r="B7" s="7" t="s">
        <v>13</v>
      </c>
      <c r="C7" s="6">
        <v>3.4</v>
      </c>
      <c r="D7" s="7" t="s">
        <v>14</v>
      </c>
      <c r="E7" s="7" t="s">
        <v>13</v>
      </c>
      <c r="F7" s="6">
        <v>3.4</v>
      </c>
      <c r="G7" s="7" t="s">
        <v>14</v>
      </c>
      <c r="H7" s="11" t="s">
        <v>15</v>
      </c>
      <c r="I7" s="12" t="s">
        <v>12</v>
      </c>
    </row>
    <row r="8" spans="1:26" ht="14.25" customHeight="1" x14ac:dyDescent="0.25">
      <c r="B8" s="13" t="s">
        <v>16</v>
      </c>
      <c r="C8" s="14">
        <v>4</v>
      </c>
      <c r="D8" s="13" t="s">
        <v>17</v>
      </c>
      <c r="E8" s="13" t="s">
        <v>16</v>
      </c>
      <c r="F8" s="14">
        <v>3.5</v>
      </c>
      <c r="G8" s="13" t="s">
        <v>17</v>
      </c>
      <c r="H8" s="11"/>
      <c r="I8" s="12" t="s">
        <v>13</v>
      </c>
    </row>
    <row r="9" spans="1:26" ht="14.25" customHeight="1" x14ac:dyDescent="0.25">
      <c r="B9" s="7"/>
      <c r="C9" s="7"/>
      <c r="D9" s="7"/>
      <c r="E9" s="7" t="s">
        <v>18</v>
      </c>
      <c r="F9" s="6">
        <v>10</v>
      </c>
      <c r="G9" s="7" t="s">
        <v>19</v>
      </c>
      <c r="H9" s="11"/>
      <c r="I9" s="12" t="s">
        <v>18</v>
      </c>
    </row>
    <row r="10" spans="1:26" ht="14.25" customHeight="1" x14ac:dyDescent="0.25">
      <c r="B10" s="7" t="s">
        <v>20</v>
      </c>
      <c r="C10" s="6">
        <v>44</v>
      </c>
      <c r="D10" s="7" t="s">
        <v>19</v>
      </c>
      <c r="H10" s="11"/>
      <c r="I10" s="12" t="s">
        <v>21</v>
      </c>
    </row>
    <row r="11" spans="1:26" ht="14.25" customHeight="1" x14ac:dyDescent="0.25">
      <c r="B11" s="7" t="s">
        <v>22</v>
      </c>
      <c r="C11" s="6">
        <v>100</v>
      </c>
      <c r="D11" s="7" t="s">
        <v>23</v>
      </c>
      <c r="E11" s="7" t="s">
        <v>24</v>
      </c>
      <c r="F11" s="6">
        <v>100</v>
      </c>
      <c r="G11" s="7" t="s">
        <v>23</v>
      </c>
      <c r="H11" s="11"/>
      <c r="I11" s="12" t="s">
        <v>22</v>
      </c>
    </row>
    <row r="12" spans="1:26" ht="14.25" customHeight="1" x14ac:dyDescent="0.25">
      <c r="B12" s="13" t="s">
        <v>25</v>
      </c>
      <c r="C12" s="14">
        <v>30</v>
      </c>
      <c r="D12" s="13" t="s">
        <v>26</v>
      </c>
      <c r="E12" s="13" t="s">
        <v>27</v>
      </c>
      <c r="F12" s="14">
        <v>25</v>
      </c>
      <c r="G12" s="13" t="s">
        <v>26</v>
      </c>
      <c r="H12" s="11"/>
      <c r="I12" s="12" t="s">
        <v>28</v>
      </c>
    </row>
    <row r="13" spans="1:26" ht="14.25" customHeight="1" x14ac:dyDescent="0.25">
      <c r="A13" s="7"/>
      <c r="B13" s="7"/>
      <c r="C13" s="7"/>
      <c r="D13" s="7"/>
      <c r="E13" s="8" t="s">
        <v>29</v>
      </c>
      <c r="F13" s="7">
        <f>11.3*2</f>
        <v>22.6</v>
      </c>
      <c r="G13" s="7" t="s">
        <v>30</v>
      </c>
      <c r="H13" s="11"/>
      <c r="I13" s="12" t="s">
        <v>16</v>
      </c>
      <c r="J13" s="7"/>
      <c r="K13" s="7"/>
      <c r="L13" s="7"/>
      <c r="M13" s="7"/>
      <c r="N13" s="7"/>
      <c r="O13" s="7"/>
      <c r="P13" s="7"/>
      <c r="Q13" s="7"/>
      <c r="R13" s="7"/>
      <c r="S13" s="7"/>
      <c r="T13" s="7"/>
      <c r="U13" s="7"/>
      <c r="V13" s="7"/>
      <c r="W13" s="7"/>
      <c r="X13" s="7"/>
      <c r="Y13" s="7"/>
      <c r="Z13" s="7"/>
    </row>
    <row r="14" spans="1:26" ht="14.25" customHeight="1" x14ac:dyDescent="0.25">
      <c r="B14" s="15" t="s">
        <v>31</v>
      </c>
      <c r="C14" s="16">
        <f>C4/C8*C7*ROUNDUP(C5/C6,0)+C5*C10+ROUNDUP(C5/C6,0)*(C4/C12)*C11</f>
        <v>44615324.166666664</v>
      </c>
      <c r="E14" s="8" t="s">
        <v>32</v>
      </c>
      <c r="F14" s="17">
        <v>0.6</v>
      </c>
      <c r="H14" s="18" t="s">
        <v>33</v>
      </c>
      <c r="I14" s="19" t="s">
        <v>31</v>
      </c>
    </row>
    <row r="15" spans="1:26" ht="14.25" customHeight="1" x14ac:dyDescent="0.25">
      <c r="A15" s="7"/>
      <c r="B15" s="16"/>
      <c r="C15" s="16"/>
      <c r="D15" s="7"/>
      <c r="E15" s="7"/>
      <c r="F15" s="7"/>
      <c r="G15" s="7"/>
      <c r="H15" s="18"/>
      <c r="I15" s="19" t="s">
        <v>34</v>
      </c>
      <c r="J15" s="7"/>
      <c r="K15" s="7"/>
      <c r="L15" s="7"/>
      <c r="M15" s="7"/>
      <c r="N15" s="7"/>
      <c r="O15" s="7"/>
      <c r="P15" s="7"/>
      <c r="Q15" s="7"/>
      <c r="R15" s="7"/>
      <c r="S15" s="7"/>
      <c r="T15" s="7"/>
      <c r="U15" s="7"/>
      <c r="V15" s="7"/>
      <c r="W15" s="7"/>
      <c r="X15" s="7"/>
      <c r="Y15" s="7"/>
      <c r="Z15" s="7"/>
    </row>
    <row r="16" spans="1:26" ht="14.25" customHeight="1" x14ac:dyDescent="0.25">
      <c r="B16" s="15" t="s">
        <v>34</v>
      </c>
      <c r="C16" s="16">
        <f>C14/C5</f>
        <v>99.145164814814805</v>
      </c>
      <c r="D16" s="16" t="s">
        <v>19</v>
      </c>
      <c r="E16" s="20" t="s">
        <v>31</v>
      </c>
      <c r="F16" s="16">
        <f>F4/F8*F7*ROUNDUP(F5/F6,0)+F5*F9+ROUNDUP(F5/F6,0)*F4/F12*F11+F13/F8*F7*ROUNDUP(F5*F14/F6,0)+ROUNDUP(F5*F14/F6,0)*F4/F12*F11 + F5*F14*F9</f>
        <v>11825799.337142857</v>
      </c>
      <c r="H16" s="21"/>
      <c r="I16" s="22" t="s">
        <v>35</v>
      </c>
    </row>
    <row r="17" spans="1:26" ht="14.25" customHeight="1" x14ac:dyDescent="0.25">
      <c r="A17" s="7"/>
      <c r="B17" s="16"/>
      <c r="C17" s="16"/>
      <c r="D17" s="16"/>
      <c r="E17" s="23"/>
      <c r="F17" s="16"/>
      <c r="G17" s="7"/>
      <c r="H17" s="7"/>
      <c r="I17" s="7"/>
      <c r="J17" s="7"/>
      <c r="K17" s="7"/>
      <c r="L17" s="7"/>
      <c r="M17" s="7"/>
      <c r="N17" s="7"/>
      <c r="O17" s="7"/>
      <c r="P17" s="7"/>
      <c r="Q17" s="7"/>
      <c r="R17" s="7"/>
      <c r="S17" s="7"/>
      <c r="T17" s="7"/>
      <c r="U17" s="7"/>
      <c r="V17" s="7"/>
      <c r="W17" s="7"/>
      <c r="X17" s="7"/>
      <c r="Y17" s="7"/>
      <c r="Z17" s="7"/>
    </row>
    <row r="18" spans="1:26" ht="14.25" customHeight="1" x14ac:dyDescent="0.25">
      <c r="B18" s="15" t="s">
        <v>36</v>
      </c>
      <c r="C18" s="16">
        <f>C16-F18</f>
        <v>72.865610732275115</v>
      </c>
      <c r="D18" s="16" t="s">
        <v>19</v>
      </c>
      <c r="E18" s="20" t="s">
        <v>34</v>
      </c>
      <c r="F18" s="16">
        <f>F16/F5</f>
        <v>26.279554082539683</v>
      </c>
      <c r="G18" s="16" t="s">
        <v>19</v>
      </c>
    </row>
    <row r="19" spans="1:26" ht="14.25" customHeight="1" x14ac:dyDescent="0.25"/>
    <row r="20" spans="1:26" ht="14.25" customHeight="1" x14ac:dyDescent="0.25">
      <c r="B20" s="7"/>
      <c r="C20" s="7"/>
      <c r="D20" s="7"/>
      <c r="E20" s="7"/>
    </row>
    <row r="21" spans="1:26" ht="14.25" customHeight="1" x14ac:dyDescent="0.25">
      <c r="B21" s="16" t="s">
        <v>37</v>
      </c>
      <c r="C21" s="7" t="s">
        <v>38</v>
      </c>
      <c r="D21" s="7"/>
      <c r="E21" s="16" t="s">
        <v>37</v>
      </c>
      <c r="F21" s="7" t="s">
        <v>39</v>
      </c>
    </row>
    <row r="22" spans="1:26" ht="14.25" customHeight="1" x14ac:dyDescent="0.25">
      <c r="B22" s="7"/>
      <c r="C22" s="7">
        <f>C4/4*3.4*ROUNDUP(C5/22,0)+C5*44+ROUNDUP(C5/22,0)*(C4/30)*100</f>
        <v>44615324.166666664</v>
      </c>
      <c r="D22" s="7"/>
      <c r="E22" s="7"/>
      <c r="F22" s="24">
        <f>F4/3.5*3.4*ROUNDUP(F5/38,0)+F5*10+ROUNDUP(F5/38,0)*F4/25*100+F13/3.5*3.4*ROUNDUP(F5*60%/38,0)+ROUNDUP(F5*60%/38,0)*F4/25*100+F5*F14*10</f>
        <v>11825799.337142857</v>
      </c>
    </row>
    <row r="23" spans="1:26" ht="14.25" customHeight="1" x14ac:dyDescent="0.25">
      <c r="B23" s="7"/>
      <c r="C23" s="7"/>
      <c r="D23" s="7"/>
      <c r="E23" s="7"/>
    </row>
    <row r="24" spans="1:26" ht="14.25" customHeight="1" x14ac:dyDescent="0.25">
      <c r="B24" s="7" t="s">
        <v>40</v>
      </c>
      <c r="C24" s="25"/>
      <c r="D24" s="7"/>
      <c r="E24" s="7"/>
    </row>
    <row r="25" spans="1:26" ht="14.25" customHeight="1" x14ac:dyDescent="0.25">
      <c r="B25" s="7"/>
      <c r="C25" s="7"/>
      <c r="D25" s="7"/>
      <c r="E25" s="7"/>
    </row>
    <row r="26" spans="1:26" ht="14.25" customHeight="1" x14ac:dyDescent="0.25">
      <c r="B26" s="7"/>
      <c r="C26" s="7"/>
      <c r="D26" s="7"/>
      <c r="E26" s="7"/>
    </row>
    <row r="27" spans="1:26" ht="14.25" customHeight="1" x14ac:dyDescent="0.25">
      <c r="G27" s="1"/>
    </row>
    <row r="28" spans="1:26" ht="14.25" customHeight="1" x14ac:dyDescent="0.25">
      <c r="B28" s="26" t="s">
        <v>41</v>
      </c>
    </row>
    <row r="29" spans="1:26" ht="14.25" customHeight="1" x14ac:dyDescent="0.25"/>
    <row r="30" spans="1:26" ht="14.25" customHeight="1" x14ac:dyDescent="0.25">
      <c r="B30" s="27" t="s">
        <v>0</v>
      </c>
      <c r="C30" s="27"/>
      <c r="D30" s="27"/>
      <c r="E30" s="27" t="s">
        <v>3</v>
      </c>
      <c r="F30" s="27"/>
    </row>
    <row r="31" spans="1:26" ht="14.25" customHeight="1" x14ac:dyDescent="0.25">
      <c r="B31" s="28" t="s">
        <v>6</v>
      </c>
      <c r="C31" s="29">
        <f>99.33532056-C16</f>
        <v>0.19015574518519429</v>
      </c>
      <c r="D31" s="28"/>
      <c r="E31" s="30" t="s">
        <v>42</v>
      </c>
      <c r="F31" s="29">
        <f>26.47355548-F18</f>
        <v>0.19400139746031897</v>
      </c>
    </row>
    <row r="32" spans="1:26" ht="14.25" customHeight="1" x14ac:dyDescent="0.25">
      <c r="B32" s="28" t="s">
        <v>10</v>
      </c>
      <c r="C32" s="29">
        <f>99.14504227-C16</f>
        <v>-1.2254481480056256E-4</v>
      </c>
      <c r="D32" s="28"/>
      <c r="E32" s="28" t="s">
        <v>10</v>
      </c>
      <c r="F32" s="29">
        <f>26.27953124-F18</f>
        <v>-2.2842539681988683E-5</v>
      </c>
    </row>
    <row r="33" spans="2:6" ht="14.25" customHeight="1" x14ac:dyDescent="0.25">
      <c r="B33" s="31" t="s">
        <v>12</v>
      </c>
      <c r="C33" s="32">
        <f>96.74848667-C16</f>
        <v>-2.3966781448147998</v>
      </c>
      <c r="D33" s="28"/>
      <c r="E33" s="28" t="s">
        <v>12</v>
      </c>
      <c r="F33" s="29">
        <f>26.01589059-F18</f>
        <v>-0.26366349253968124</v>
      </c>
    </row>
    <row r="34" spans="2:6" ht="14.25" customHeight="1" x14ac:dyDescent="0.25">
      <c r="B34" s="33" t="s">
        <v>13</v>
      </c>
      <c r="C34" s="34">
        <f>102.4406926-C16</f>
        <v>3.2955277851852003</v>
      </c>
      <c r="D34" s="28"/>
      <c r="E34" s="28" t="s">
        <v>13</v>
      </c>
      <c r="F34" s="29">
        <f>26.76651103-F18</f>
        <v>0.48695694746031748</v>
      </c>
    </row>
    <row r="35" spans="2:6" ht="14.25" customHeight="1" x14ac:dyDescent="0.25">
      <c r="B35" s="28" t="s">
        <v>16</v>
      </c>
      <c r="C35" s="29">
        <f>96.90420593-C16</f>
        <v>-2.2409588848148019</v>
      </c>
      <c r="D35" s="28"/>
      <c r="E35" s="31" t="s">
        <v>16</v>
      </c>
      <c r="F35" s="32">
        <f>25.91163105-F18</f>
        <v>-0.36792303253968228</v>
      </c>
    </row>
    <row r="36" spans="2:6" ht="14.25" customHeight="1" x14ac:dyDescent="0.25">
      <c r="B36" s="30" t="s">
        <v>43</v>
      </c>
      <c r="C36" s="29">
        <f>100.1451648-C16</f>
        <v>0.99999998518519817</v>
      </c>
      <c r="D36" s="28"/>
      <c r="E36" s="35" t="s">
        <v>18</v>
      </c>
      <c r="F36" s="36">
        <f>27.87955408-F18</f>
        <v>1.5999999974603156</v>
      </c>
    </row>
    <row r="37" spans="2:6" ht="14.25" customHeight="1" x14ac:dyDescent="0.25">
      <c r="B37" s="28" t="s">
        <v>22</v>
      </c>
      <c r="C37" s="29">
        <f>99.58456852-C16</f>
        <v>0.43940370518519956</v>
      </c>
      <c r="D37" s="28"/>
      <c r="E37" s="28" t="s">
        <v>24</v>
      </c>
      <c r="F37" s="29">
        <f>26.36579309-F18</f>
        <v>8.6239007460317652E-2</v>
      </c>
    </row>
    <row r="38" spans="2:6" ht="14.25" customHeight="1" x14ac:dyDescent="0.25">
      <c r="B38" s="28" t="s">
        <v>25</v>
      </c>
      <c r="C38" s="29">
        <f>97.72773351-C16</f>
        <v>-1.4174313048148122</v>
      </c>
      <c r="D38" s="28"/>
      <c r="E38" s="28" t="s">
        <v>27</v>
      </c>
      <c r="F38" s="29">
        <f>25.9478656-F18</f>
        <v>-0.33168848253968264</v>
      </c>
    </row>
    <row r="39" spans="2:6" ht="14.25" customHeight="1" x14ac:dyDescent="0.25">
      <c r="D39" s="28"/>
      <c r="E39" s="37" t="s">
        <v>44</v>
      </c>
      <c r="F39" s="38">
        <f>26.29489402-F18</f>
        <v>1.5339937460318254E-2</v>
      </c>
    </row>
    <row r="40" spans="2:6" ht="14.25" customHeight="1" x14ac:dyDescent="0.25">
      <c r="E40" s="37" t="s">
        <v>32</v>
      </c>
      <c r="F40" s="38">
        <f>26.4390141-F18</f>
        <v>0.15946001746031868</v>
      </c>
    </row>
    <row r="41" spans="2:6" ht="14.25" customHeight="1" x14ac:dyDescent="0.25">
      <c r="B41" s="16"/>
    </row>
    <row r="42" spans="2:6" ht="14.25" customHeight="1" x14ac:dyDescent="0.25">
      <c r="B42" s="7"/>
    </row>
    <row r="43" spans="2:6" ht="14.25" customHeight="1" x14ac:dyDescent="0.25"/>
    <row r="44" spans="2:6" ht="14.25" customHeight="1" x14ac:dyDescent="0.25"/>
    <row r="45" spans="2:6" ht="14.25" customHeight="1" x14ac:dyDescent="0.25"/>
    <row r="46" spans="2:6" ht="14.25" customHeight="1" x14ac:dyDescent="0.25"/>
    <row r="47" spans="2:6" ht="14.25" customHeight="1" x14ac:dyDescent="0.25"/>
    <row r="48" spans="2:6"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sheetViews>
  <sheetFormatPr defaultColWidth="14.42578125" defaultRowHeight="15" customHeight="1" x14ac:dyDescent="0.25"/>
  <cols>
    <col min="1" max="1" width="14.42578125" customWidth="1"/>
    <col min="2" max="2" width="35.140625" customWidth="1"/>
    <col min="3" max="3" width="21.85546875" customWidth="1"/>
    <col min="4" max="4" width="17.42578125" customWidth="1"/>
    <col min="5" max="5" width="35.7109375" customWidth="1"/>
    <col min="6" max="6" width="24.140625" customWidth="1"/>
    <col min="9" max="9" width="30.28515625" customWidth="1"/>
  </cols>
  <sheetData>
    <row r="1" spans="1:26" x14ac:dyDescent="0.25">
      <c r="B1" s="5" t="s">
        <v>45</v>
      </c>
      <c r="C1" s="5"/>
      <c r="D1" s="5"/>
      <c r="E1" s="5"/>
      <c r="F1" s="5"/>
    </row>
    <row r="3" spans="1:26" ht="15.75" x14ac:dyDescent="0.25">
      <c r="B3" s="16" t="s">
        <v>0</v>
      </c>
      <c r="C3" s="16" t="s">
        <v>1</v>
      </c>
      <c r="D3" s="16" t="s">
        <v>2</v>
      </c>
      <c r="E3" s="16" t="s">
        <v>3</v>
      </c>
      <c r="F3" s="16" t="s">
        <v>4</v>
      </c>
      <c r="G3" s="16" t="s">
        <v>2</v>
      </c>
      <c r="H3" s="2" t="s">
        <v>5</v>
      </c>
      <c r="I3" s="3"/>
    </row>
    <row r="4" spans="1:26" x14ac:dyDescent="0.25">
      <c r="B4" s="5" t="s">
        <v>6</v>
      </c>
      <c r="C4" s="6">
        <v>290</v>
      </c>
      <c r="D4" s="7" t="s">
        <v>7</v>
      </c>
      <c r="E4" s="5" t="s">
        <v>6</v>
      </c>
      <c r="F4" s="7">
        <f>25.6*2</f>
        <v>51.2</v>
      </c>
      <c r="G4" s="7" t="s">
        <v>7</v>
      </c>
      <c r="H4" s="9" t="s">
        <v>9</v>
      </c>
      <c r="I4" s="10" t="s">
        <v>6</v>
      </c>
    </row>
    <row r="5" spans="1:26" x14ac:dyDescent="0.25">
      <c r="B5" s="5" t="s">
        <v>10</v>
      </c>
      <c r="C5" s="6">
        <v>450000</v>
      </c>
      <c r="D5" s="7" t="s">
        <v>11</v>
      </c>
      <c r="E5" s="5" t="s">
        <v>10</v>
      </c>
      <c r="F5" s="6">
        <v>450000</v>
      </c>
      <c r="G5" s="7" t="s">
        <v>11</v>
      </c>
      <c r="H5" s="9"/>
      <c r="I5" s="10" t="s">
        <v>10</v>
      </c>
    </row>
    <row r="6" spans="1:26" x14ac:dyDescent="0.25">
      <c r="B6" s="7" t="s">
        <v>12</v>
      </c>
      <c r="C6" s="6">
        <v>22</v>
      </c>
      <c r="D6" s="7" t="s">
        <v>11</v>
      </c>
      <c r="E6" s="7" t="s">
        <v>12</v>
      </c>
      <c r="F6" s="6">
        <v>38</v>
      </c>
      <c r="G6" s="7" t="s">
        <v>11</v>
      </c>
      <c r="H6" s="11"/>
      <c r="I6" s="12"/>
    </row>
    <row r="7" spans="1:26" x14ac:dyDescent="0.25">
      <c r="B7" s="13" t="s">
        <v>16</v>
      </c>
      <c r="C7" s="14">
        <v>4</v>
      </c>
      <c r="D7" s="13" t="s">
        <v>17</v>
      </c>
      <c r="E7" s="13" t="s">
        <v>16</v>
      </c>
      <c r="F7" s="14">
        <v>3.5</v>
      </c>
      <c r="G7" s="13" t="s">
        <v>17</v>
      </c>
      <c r="H7" s="11" t="s">
        <v>15</v>
      </c>
      <c r="I7" s="12" t="s">
        <v>12</v>
      </c>
    </row>
    <row r="8" spans="1:26" x14ac:dyDescent="0.25">
      <c r="B8" s="7" t="s">
        <v>46</v>
      </c>
      <c r="C8" s="7">
        <v>0.43</v>
      </c>
      <c r="D8" s="7" t="s">
        <v>47</v>
      </c>
      <c r="E8" s="7" t="s">
        <v>46</v>
      </c>
      <c r="F8" s="7">
        <v>0.43</v>
      </c>
      <c r="G8" s="7" t="s">
        <v>47</v>
      </c>
      <c r="H8" s="11"/>
      <c r="I8" s="12" t="s">
        <v>16</v>
      </c>
    </row>
    <row r="9" spans="1:26" x14ac:dyDescent="0.25">
      <c r="B9" s="7" t="s">
        <v>46</v>
      </c>
      <c r="C9" s="7">
        <f>C8*3.78541</f>
        <v>1.6277263</v>
      </c>
      <c r="D9" s="7" t="s">
        <v>48</v>
      </c>
      <c r="E9" s="7" t="s">
        <v>46</v>
      </c>
      <c r="F9" s="7">
        <f>F8*3.78541</f>
        <v>1.6277263</v>
      </c>
      <c r="G9" s="7" t="s">
        <v>48</v>
      </c>
      <c r="H9" s="11"/>
      <c r="I9" s="12" t="s">
        <v>49</v>
      </c>
    </row>
    <row r="10" spans="1:26" x14ac:dyDescent="0.25">
      <c r="B10" s="7"/>
      <c r="C10" s="7"/>
      <c r="D10" s="7"/>
      <c r="E10" s="5" t="s">
        <v>50</v>
      </c>
      <c r="F10" s="7">
        <f>11.3*2</f>
        <v>22.6</v>
      </c>
      <c r="G10" s="7" t="s">
        <v>30</v>
      </c>
      <c r="H10" s="11"/>
      <c r="I10" s="12" t="s">
        <v>51</v>
      </c>
    </row>
    <row r="11" spans="1:26" x14ac:dyDescent="0.25">
      <c r="B11" s="15" t="s">
        <v>52</v>
      </c>
      <c r="C11" s="16">
        <f>ROUNDUP(C5/C6,0)*C4/C7*C9</f>
        <v>2413897.75632125</v>
      </c>
      <c r="E11" s="8" t="s">
        <v>32</v>
      </c>
      <c r="F11" s="17">
        <v>0.6</v>
      </c>
      <c r="H11" s="11"/>
      <c r="I11" s="12"/>
    </row>
    <row r="12" spans="1:26" x14ac:dyDescent="0.25">
      <c r="A12" s="7"/>
      <c r="B12" s="16"/>
      <c r="C12" s="16"/>
      <c r="D12" s="7"/>
      <c r="E12" s="7"/>
      <c r="F12" s="7"/>
      <c r="G12" s="7"/>
      <c r="H12" s="18" t="s">
        <v>33</v>
      </c>
      <c r="I12" s="15" t="s">
        <v>52</v>
      </c>
      <c r="J12" s="7"/>
      <c r="K12" s="7"/>
      <c r="L12" s="7"/>
      <c r="M12" s="7"/>
      <c r="N12" s="7"/>
      <c r="O12" s="7"/>
      <c r="P12" s="7"/>
      <c r="Q12" s="7"/>
      <c r="R12" s="7"/>
      <c r="S12" s="7"/>
      <c r="T12" s="7"/>
      <c r="U12" s="7"/>
      <c r="V12" s="7"/>
      <c r="W12" s="7"/>
      <c r="X12" s="7"/>
      <c r="Y12" s="7"/>
      <c r="Z12" s="7"/>
    </row>
    <row r="13" spans="1:26" x14ac:dyDescent="0.25">
      <c r="B13" s="15" t="s">
        <v>53</v>
      </c>
      <c r="C13" s="16">
        <f>C11/C5</f>
        <v>5.364217236269444</v>
      </c>
      <c r="D13" s="16"/>
      <c r="E13" s="20" t="s">
        <v>52</v>
      </c>
      <c r="F13" s="16">
        <f>ROUNDUP(F5/F6,0)*F4/F7*F9+ROUNDUP(F5*F11/F6,0)*F10/F7*F9</f>
        <v>356684.68726124568</v>
      </c>
      <c r="G13" s="16"/>
      <c r="H13" s="18"/>
      <c r="I13" s="15" t="s">
        <v>53</v>
      </c>
    </row>
    <row r="14" spans="1:26" x14ac:dyDescent="0.25">
      <c r="A14" s="7"/>
      <c r="B14" s="16"/>
      <c r="C14" s="16"/>
      <c r="D14" s="16"/>
      <c r="E14" s="23"/>
      <c r="F14" s="16"/>
      <c r="G14" s="16"/>
      <c r="H14" s="21"/>
      <c r="I14" s="39" t="s">
        <v>54</v>
      </c>
      <c r="J14" s="7"/>
      <c r="K14" s="7"/>
      <c r="L14" s="7"/>
      <c r="M14" s="7"/>
      <c r="N14" s="7"/>
      <c r="O14" s="7"/>
      <c r="P14" s="7"/>
      <c r="Q14" s="7"/>
      <c r="R14" s="7"/>
      <c r="S14" s="7"/>
      <c r="T14" s="7"/>
      <c r="U14" s="7"/>
      <c r="V14" s="7"/>
      <c r="W14" s="7"/>
      <c r="X14" s="7"/>
      <c r="Y14" s="7"/>
      <c r="Z14" s="7"/>
    </row>
    <row r="15" spans="1:26" x14ac:dyDescent="0.25">
      <c r="B15" s="15" t="s">
        <v>54</v>
      </c>
      <c r="C15" s="16">
        <f>C13-F15</f>
        <v>4.5715845979111203</v>
      </c>
      <c r="E15" s="20" t="s">
        <v>53</v>
      </c>
      <c r="F15" s="16">
        <f>F13/F5</f>
        <v>0.79263263835832376</v>
      </c>
    </row>
    <row r="17" spans="2:6" ht="15" customHeight="1" x14ac:dyDescent="0.25">
      <c r="C17" s="24">
        <f>ROUNDUP(C5/22,0)*C4/4*1.6277</f>
        <v>2413858.7537499997</v>
      </c>
      <c r="F17" s="24">
        <f>ROUNDUP(F5/38,0)*F4/3.5*1.62772+ROUNDUP(F5*60%/38,0)*F10/3.5*1.6277263</f>
        <v>356683.59581036569</v>
      </c>
    </row>
    <row r="19" spans="2:6" ht="15" customHeight="1" x14ac:dyDescent="0.25">
      <c r="B19" s="26" t="s">
        <v>41</v>
      </c>
    </row>
    <row r="21" spans="2:6" ht="15" customHeight="1" x14ac:dyDescent="0.25">
      <c r="B21" s="40" t="s">
        <v>0</v>
      </c>
      <c r="C21" s="40"/>
      <c r="D21" s="40"/>
      <c r="E21" s="40" t="s">
        <v>3</v>
      </c>
      <c r="F21" s="41"/>
    </row>
    <row r="22" spans="2:6" ht="15" customHeight="1" x14ac:dyDescent="0.25">
      <c r="B22" s="42" t="s">
        <v>6</v>
      </c>
      <c r="C22" s="43">
        <f>5.382714537-C13</f>
        <v>1.8497300730555999E-2</v>
      </c>
      <c r="D22" s="28"/>
      <c r="E22" s="44" t="s">
        <v>42</v>
      </c>
      <c r="F22" s="45">
        <f>0.8048721067-F15</f>
        <v>1.2239468341676218E-2</v>
      </c>
    </row>
    <row r="23" spans="2:6" ht="15" customHeight="1" x14ac:dyDescent="0.25">
      <c r="B23" s="28" t="s">
        <v>10</v>
      </c>
      <c r="C23" s="46">
        <f>5.364205316-C13</f>
        <v>-1.1920269444409826E-5</v>
      </c>
      <c r="D23" s="28"/>
      <c r="E23" s="28" t="s">
        <v>10</v>
      </c>
      <c r="F23" s="29">
        <f>0.792630877-F15</f>
        <v>-1.7613583237485742E-6</v>
      </c>
    </row>
    <row r="24" spans="2:6" ht="15" customHeight="1" x14ac:dyDescent="0.25">
      <c r="B24" s="28" t="s">
        <v>12</v>
      </c>
      <c r="C24" s="46">
        <f>5.131081615-C13</f>
        <v>-0.23313562126944376</v>
      </c>
      <c r="D24" s="28"/>
      <c r="E24" s="28" t="s">
        <v>12</v>
      </c>
      <c r="F24" s="29">
        <f>0.7722958776-F15</f>
        <v>-2.0336760758323802E-2</v>
      </c>
    </row>
    <row r="25" spans="2:6" ht="15" customHeight="1" x14ac:dyDescent="0.25">
      <c r="B25" s="47" t="s">
        <v>16</v>
      </c>
      <c r="C25" s="48">
        <f>4.291373789-C13</f>
        <v>-1.0728434472694444</v>
      </c>
      <c r="D25" s="28"/>
      <c r="E25" s="31" t="s">
        <v>16</v>
      </c>
      <c r="F25" s="32">
        <f>0.6164920521-F15</f>
        <v>-0.17614058625832374</v>
      </c>
    </row>
    <row r="26" spans="2:6" ht="15" customHeight="1" x14ac:dyDescent="0.25">
      <c r="B26" s="7"/>
      <c r="C26" s="7"/>
      <c r="D26" s="7"/>
      <c r="E26" s="49" t="s">
        <v>44</v>
      </c>
      <c r="F26" s="50">
        <f>0.799976526-F15</f>
        <v>7.3438876416762611E-3</v>
      </c>
    </row>
    <row r="27" spans="2:6" ht="15" customHeight="1" x14ac:dyDescent="0.25">
      <c r="B27" s="7"/>
      <c r="C27" s="7"/>
      <c r="D27" s="7"/>
      <c r="E27" s="51" t="s">
        <v>32</v>
      </c>
      <c r="F27" s="52">
        <f>0.7953887149-F15</f>
        <v>2.7560765416762001E-3</v>
      </c>
    </row>
    <row r="28" spans="2:6" ht="15" customHeight="1" x14ac:dyDescent="0.25">
      <c r="C28" s="16"/>
      <c r="E28" s="23"/>
      <c r="F28" s="16"/>
    </row>
    <row r="29" spans="2:6" ht="15" customHeight="1" x14ac:dyDescent="0.25">
      <c r="B29" s="16" t="s">
        <v>55</v>
      </c>
      <c r="C29" s="16"/>
      <c r="D29" s="16"/>
      <c r="E29" s="23"/>
      <c r="F29" s="16"/>
    </row>
    <row r="30" spans="2:6" ht="15" customHeight="1" x14ac:dyDescent="0.25">
      <c r="B30" s="16" t="s">
        <v>56</v>
      </c>
      <c r="C30" s="16"/>
    </row>
    <row r="31" spans="2:6" ht="15.75" customHeight="1" x14ac:dyDescent="0.25"/>
    <row r="32" spans="2: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3:F1000"/>
  <sheetViews>
    <sheetView workbookViewId="0"/>
  </sheetViews>
  <sheetFormatPr defaultColWidth="14.42578125" defaultRowHeight="15" customHeight="1" x14ac:dyDescent="0.25"/>
  <cols>
    <col min="1" max="1" width="14.42578125" customWidth="1"/>
    <col min="2" max="2" width="40.7109375" customWidth="1"/>
    <col min="3" max="3" width="22" customWidth="1"/>
    <col min="4" max="6" width="14.42578125" customWidth="1"/>
  </cols>
  <sheetData>
    <row r="3" spans="1:4" x14ac:dyDescent="0.25">
      <c r="A3" s="7"/>
      <c r="B3" s="16" t="s">
        <v>57</v>
      </c>
      <c r="C3" s="7"/>
      <c r="D3" s="7"/>
    </row>
    <row r="4" spans="1:4" x14ac:dyDescent="0.25">
      <c r="A4" s="53"/>
      <c r="C4" s="7"/>
      <c r="D4" s="7"/>
    </row>
    <row r="5" spans="1:4" x14ac:dyDescent="0.25">
      <c r="A5" s="7">
        <v>1</v>
      </c>
      <c r="B5" s="7" t="s">
        <v>6</v>
      </c>
      <c r="C5" s="7" t="s">
        <v>58</v>
      </c>
      <c r="D5" s="7"/>
    </row>
    <row r="6" spans="1:4" x14ac:dyDescent="0.25">
      <c r="A6" s="7">
        <v>2</v>
      </c>
      <c r="B6" s="7" t="s">
        <v>12</v>
      </c>
      <c r="C6" s="7" t="s">
        <v>59</v>
      </c>
      <c r="D6" s="7"/>
    </row>
    <row r="7" spans="1:4" x14ac:dyDescent="0.25">
      <c r="A7" s="7">
        <v>3</v>
      </c>
      <c r="B7" s="7" t="s">
        <v>13</v>
      </c>
      <c r="C7" s="7" t="s">
        <v>60</v>
      </c>
      <c r="D7" s="7"/>
    </row>
    <row r="8" spans="1:4" x14ac:dyDescent="0.25">
      <c r="A8" s="7">
        <v>4</v>
      </c>
      <c r="B8" s="7" t="s">
        <v>16</v>
      </c>
      <c r="C8" s="7" t="s">
        <v>61</v>
      </c>
    </row>
    <row r="9" spans="1:4" x14ac:dyDescent="0.25">
      <c r="A9" s="7">
        <v>5</v>
      </c>
      <c r="B9" s="7" t="s">
        <v>18</v>
      </c>
      <c r="C9" s="7" t="s">
        <v>62</v>
      </c>
    </row>
    <row r="10" spans="1:4" x14ac:dyDescent="0.25">
      <c r="A10" s="7">
        <v>6</v>
      </c>
      <c r="B10" s="7" t="s">
        <v>21</v>
      </c>
      <c r="C10" s="7" t="s">
        <v>63</v>
      </c>
    </row>
    <row r="11" spans="1:4" x14ac:dyDescent="0.25">
      <c r="A11" s="7">
        <v>7</v>
      </c>
      <c r="B11" s="7" t="s">
        <v>24</v>
      </c>
      <c r="C11" s="7" t="s">
        <v>64</v>
      </c>
    </row>
    <row r="12" spans="1:4" x14ac:dyDescent="0.25">
      <c r="A12" s="7"/>
    </row>
    <row r="13" spans="1:4" x14ac:dyDescent="0.25">
      <c r="A13" s="7"/>
      <c r="B13" s="7"/>
      <c r="C13" s="7"/>
    </row>
    <row r="15" spans="1:4" x14ac:dyDescent="0.25">
      <c r="A15" s="53"/>
      <c r="B15" s="16"/>
      <c r="C15" s="7"/>
    </row>
    <row r="16" spans="1:4" x14ac:dyDescent="0.25">
      <c r="A16" s="53"/>
    </row>
    <row r="17" spans="1:5" x14ac:dyDescent="0.25">
      <c r="A17" s="53"/>
      <c r="B17" s="16" t="s">
        <v>65</v>
      </c>
    </row>
    <row r="18" spans="1:5" x14ac:dyDescent="0.25">
      <c r="A18" s="53"/>
      <c r="B18" s="16" t="s">
        <v>66</v>
      </c>
      <c r="D18" s="16"/>
    </row>
    <row r="19" spans="1:5" ht="15.75" x14ac:dyDescent="0.25">
      <c r="A19" s="7"/>
      <c r="B19" s="1" t="s">
        <v>0</v>
      </c>
      <c r="C19" s="1" t="s">
        <v>1</v>
      </c>
      <c r="D19" s="1" t="s">
        <v>2</v>
      </c>
      <c r="E19" s="7" t="s">
        <v>66</v>
      </c>
    </row>
    <row r="20" spans="1:5" x14ac:dyDescent="0.25">
      <c r="A20" s="7"/>
      <c r="B20" s="5" t="s">
        <v>6</v>
      </c>
      <c r="C20" s="6">
        <v>290</v>
      </c>
      <c r="D20" s="7" t="s">
        <v>7</v>
      </c>
      <c r="E20" s="7"/>
    </row>
    <row r="21" spans="1:5" ht="15.75" customHeight="1" x14ac:dyDescent="0.25">
      <c r="A21" s="7"/>
      <c r="B21" s="5" t="s">
        <v>10</v>
      </c>
      <c r="C21" s="6">
        <v>450000</v>
      </c>
      <c r="D21" s="7" t="s">
        <v>11</v>
      </c>
    </row>
    <row r="22" spans="1:5" ht="15.75" customHeight="1" x14ac:dyDescent="0.25">
      <c r="A22" s="53"/>
      <c r="B22" s="7" t="s">
        <v>12</v>
      </c>
      <c r="C22" s="6">
        <v>22</v>
      </c>
      <c r="D22" s="7" t="s">
        <v>11</v>
      </c>
      <c r="E22" s="7" t="s">
        <v>67</v>
      </c>
    </row>
    <row r="23" spans="1:5" ht="15.75" customHeight="1" x14ac:dyDescent="0.25">
      <c r="B23" s="7" t="s">
        <v>13</v>
      </c>
      <c r="C23" s="6">
        <v>3.4</v>
      </c>
      <c r="D23" s="7" t="s">
        <v>14</v>
      </c>
    </row>
    <row r="24" spans="1:5" ht="15.75" customHeight="1" x14ac:dyDescent="0.25">
      <c r="B24" s="13" t="s">
        <v>16</v>
      </c>
      <c r="C24" s="14">
        <v>4</v>
      </c>
      <c r="D24" s="13" t="s">
        <v>17</v>
      </c>
    </row>
    <row r="25" spans="1:5" ht="15.75" customHeight="1" x14ac:dyDescent="0.25">
      <c r="B25" s="7"/>
      <c r="C25" s="7"/>
      <c r="D25" s="7"/>
      <c r="E25" s="7" t="s">
        <v>68</v>
      </c>
    </row>
    <row r="26" spans="1:5" ht="15.75" customHeight="1" x14ac:dyDescent="0.25">
      <c r="B26" s="7" t="s">
        <v>20</v>
      </c>
      <c r="C26" s="6">
        <v>44</v>
      </c>
      <c r="D26" s="7" t="s">
        <v>19</v>
      </c>
      <c r="E26" s="7" t="s">
        <v>69</v>
      </c>
    </row>
    <row r="27" spans="1:5" ht="15.75" customHeight="1" x14ac:dyDescent="0.25">
      <c r="B27" s="7" t="s">
        <v>22</v>
      </c>
      <c r="C27" s="6">
        <v>100</v>
      </c>
      <c r="D27" s="7" t="s">
        <v>23</v>
      </c>
    </row>
    <row r="28" spans="1:5" ht="15.75" customHeight="1" x14ac:dyDescent="0.25">
      <c r="B28" s="13" t="s">
        <v>25</v>
      </c>
      <c r="C28" s="14">
        <v>30</v>
      </c>
      <c r="D28" s="13" t="s">
        <v>26</v>
      </c>
      <c r="E28" s="37" t="s">
        <v>70</v>
      </c>
    </row>
    <row r="29" spans="1:5" ht="15.75" customHeight="1" x14ac:dyDescent="0.25">
      <c r="B29" s="7"/>
      <c r="C29" s="7"/>
      <c r="D29" s="7"/>
    </row>
    <row r="30" spans="1:5" ht="15.75" customHeight="1" x14ac:dyDescent="0.25">
      <c r="B30" s="15" t="s">
        <v>31</v>
      </c>
      <c r="C30" s="16">
        <f>C20/C24*C23*ROUNDUP(C21/C22,0)+C21*C26+ROUNDUP(C21/C22,0)*(C20/C28)*C27</f>
        <v>44615324.166666664</v>
      </c>
    </row>
    <row r="31" spans="1:5" ht="15.75" customHeight="1" x14ac:dyDescent="0.25">
      <c r="B31" s="16"/>
      <c r="C31" s="16"/>
      <c r="D31" s="7"/>
    </row>
    <row r="32" spans="1:5" ht="15.75" customHeight="1" x14ac:dyDescent="0.25">
      <c r="B32" s="15" t="s">
        <v>34</v>
      </c>
      <c r="C32" s="16">
        <f>C30/C21</f>
        <v>99.145164814814805</v>
      </c>
      <c r="D32" s="16" t="s">
        <v>19</v>
      </c>
    </row>
    <row r="33" spans="2:6" ht="15.75" customHeight="1" x14ac:dyDescent="0.25">
      <c r="B33" s="16"/>
      <c r="C33" s="16"/>
      <c r="D33" s="16"/>
    </row>
    <row r="34" spans="2:6" ht="15.75" customHeight="1" x14ac:dyDescent="0.25">
      <c r="B34" s="15" t="s">
        <v>36</v>
      </c>
      <c r="C34" s="16">
        <f>C32-F34</f>
        <v>99.145164814814805</v>
      </c>
      <c r="D34" s="16" t="s">
        <v>19</v>
      </c>
    </row>
    <row r="35" spans="2:6" ht="15.75" customHeight="1" x14ac:dyDescent="0.25"/>
    <row r="36" spans="2:6" ht="15.75" customHeight="1" x14ac:dyDescent="0.25">
      <c r="B36" s="7"/>
      <c r="C36" s="7"/>
      <c r="D36" s="7"/>
    </row>
    <row r="37" spans="2:6" ht="15.75" customHeight="1" x14ac:dyDescent="0.25">
      <c r="B37" s="16" t="s">
        <v>37</v>
      </c>
      <c r="C37" s="7" t="s">
        <v>38</v>
      </c>
      <c r="D37" s="7"/>
    </row>
    <row r="38" spans="2:6" ht="15.75" customHeight="1" x14ac:dyDescent="0.25">
      <c r="B38" s="7"/>
      <c r="C38" s="7">
        <f>C20/4*3.4*ROUNDUP(C21/22,0)+C21*44+ROUNDUP(C21/22,0)*(C20/30)*100</f>
        <v>44615324.166666664</v>
      </c>
      <c r="D38" s="7"/>
    </row>
    <row r="39" spans="2:6" ht="15.75" customHeight="1" x14ac:dyDescent="0.25"/>
    <row r="40" spans="2:6" ht="15.75" customHeight="1" x14ac:dyDescent="0.25"/>
    <row r="41" spans="2:6" ht="15.75" customHeight="1" x14ac:dyDescent="0.25">
      <c r="B41" s="1" t="s">
        <v>3</v>
      </c>
      <c r="C41" s="1" t="s">
        <v>4</v>
      </c>
      <c r="D41" s="1" t="s">
        <v>2</v>
      </c>
    </row>
    <row r="42" spans="2:6" ht="15.75" customHeight="1" x14ac:dyDescent="0.25">
      <c r="B42" s="5" t="s">
        <v>71</v>
      </c>
      <c r="C42" s="7">
        <f>25.6*2</f>
        <v>51.2</v>
      </c>
      <c r="D42" s="7" t="s">
        <v>7</v>
      </c>
      <c r="E42" s="7" t="s">
        <v>72</v>
      </c>
    </row>
    <row r="43" spans="2:6" ht="15.75" customHeight="1" x14ac:dyDescent="0.25">
      <c r="B43" s="5" t="s">
        <v>10</v>
      </c>
      <c r="C43" s="6">
        <v>450000</v>
      </c>
      <c r="D43" s="7" t="s">
        <v>11</v>
      </c>
    </row>
    <row r="44" spans="2:6" ht="15.75" customHeight="1" x14ac:dyDescent="0.25">
      <c r="B44" s="7" t="s">
        <v>12</v>
      </c>
      <c r="C44" s="6">
        <v>38</v>
      </c>
      <c r="D44" s="7" t="s">
        <v>11</v>
      </c>
      <c r="E44" s="7" t="s">
        <v>73</v>
      </c>
    </row>
    <row r="45" spans="2:6" ht="15.75" customHeight="1" x14ac:dyDescent="0.25">
      <c r="B45" s="7" t="s">
        <v>13</v>
      </c>
      <c r="C45" s="6">
        <v>3.4</v>
      </c>
      <c r="D45" s="7" t="s">
        <v>14</v>
      </c>
      <c r="E45" s="7"/>
    </row>
    <row r="46" spans="2:6" ht="15.75" customHeight="1" x14ac:dyDescent="0.25">
      <c r="B46" s="13" t="s">
        <v>16</v>
      </c>
      <c r="C46" s="14">
        <v>3.5</v>
      </c>
      <c r="D46" s="13" t="s">
        <v>17</v>
      </c>
      <c r="F46" s="16"/>
    </row>
    <row r="47" spans="2:6" ht="15.75" customHeight="1" x14ac:dyDescent="0.25">
      <c r="B47" s="7" t="s">
        <v>18</v>
      </c>
      <c r="C47" s="6">
        <v>10</v>
      </c>
      <c r="D47" s="7" t="s">
        <v>19</v>
      </c>
    </row>
    <row r="48" spans="2:6" ht="15.75" customHeight="1" x14ac:dyDescent="0.25"/>
    <row r="49" spans="2:5" ht="15.75" customHeight="1" x14ac:dyDescent="0.25">
      <c r="B49" s="7" t="s">
        <v>24</v>
      </c>
      <c r="C49" s="6">
        <v>100</v>
      </c>
      <c r="D49" s="7" t="s">
        <v>23</v>
      </c>
    </row>
    <row r="50" spans="2:5" ht="15.75" customHeight="1" x14ac:dyDescent="0.25">
      <c r="B50" s="13" t="s">
        <v>27</v>
      </c>
      <c r="C50" s="14">
        <v>25</v>
      </c>
      <c r="D50" s="13" t="s">
        <v>26</v>
      </c>
      <c r="E50" s="37" t="s">
        <v>70</v>
      </c>
    </row>
    <row r="51" spans="2:5" ht="15.75" customHeight="1" x14ac:dyDescent="0.25">
      <c r="B51" s="5" t="s">
        <v>50</v>
      </c>
      <c r="C51" s="7">
        <f>11.3*2</f>
        <v>22.6</v>
      </c>
      <c r="D51" s="7" t="s">
        <v>30</v>
      </c>
    </row>
    <row r="52" spans="2:5" ht="15.75" customHeight="1" x14ac:dyDescent="0.25">
      <c r="B52" s="8" t="s">
        <v>32</v>
      </c>
      <c r="C52" s="17">
        <v>0.6</v>
      </c>
      <c r="E52" s="37" t="s">
        <v>74</v>
      </c>
    </row>
    <row r="53" spans="2:5" ht="15.75" customHeight="1" x14ac:dyDescent="0.25">
      <c r="B53" s="7"/>
      <c r="C53" s="7"/>
      <c r="D53" s="7"/>
    </row>
    <row r="54" spans="2:5" ht="15.75" customHeight="1" x14ac:dyDescent="0.25">
      <c r="B54" s="20" t="s">
        <v>31</v>
      </c>
      <c r="C54" s="16">
        <f>C42/C46*C45*ROUNDUP(C43/C44,0)+C43*C47+ROUNDUP(C43/C44,0)*C42/C50*C49+C51/C46*C45*ROUNDUP(C43*C52/C44,0)+ROUNDUP(C43*C52/C44,0)*C42/C50*C49 + C43*C52*C47</f>
        <v>11825799.337142857</v>
      </c>
    </row>
    <row r="55" spans="2:5" ht="15.75" customHeight="1" x14ac:dyDescent="0.25">
      <c r="B55" s="23"/>
      <c r="C55" s="16"/>
      <c r="D55" s="7"/>
    </row>
    <row r="56" spans="2:5" ht="15.75" customHeight="1" x14ac:dyDescent="0.25">
      <c r="B56" s="20" t="s">
        <v>34</v>
      </c>
      <c r="C56" s="16">
        <f>C54/C43</f>
        <v>26.279554082539683</v>
      </c>
      <c r="D56" s="16" t="s">
        <v>19</v>
      </c>
    </row>
    <row r="57" spans="2:5" ht="15.75" customHeight="1" x14ac:dyDescent="0.25"/>
    <row r="58" spans="2:5" ht="15.75" customHeight="1" x14ac:dyDescent="0.25">
      <c r="B58" s="7"/>
    </row>
    <row r="59" spans="2:5" ht="15.75" customHeight="1" x14ac:dyDescent="0.25">
      <c r="B59" s="16" t="s">
        <v>37</v>
      </c>
      <c r="C59" s="7" t="s">
        <v>39</v>
      </c>
    </row>
    <row r="60" spans="2:5" ht="15.75" customHeight="1" x14ac:dyDescent="0.25">
      <c r="B60" s="7"/>
      <c r="C60" s="24">
        <f>C42/3.5*3.4*ROUNDUP(C43/38,0)+C43*10+ROUNDUP(C43/38,0)*C42/25*100+C51/3.5*3.4*ROUNDUP(C43*60%/38,0)+ROUNDUP(C43*60%/38,0)*C42/25*100+C43*C52*10</f>
        <v>11825799.337142857</v>
      </c>
    </row>
    <row r="61" spans="2:5" ht="15.75" customHeight="1" x14ac:dyDescent="0.25"/>
    <row r="62" spans="2:5" ht="15.75" customHeight="1" x14ac:dyDescent="0.25"/>
    <row r="63" spans="2:5" ht="15.75" customHeight="1" x14ac:dyDescent="0.25"/>
    <row r="64" spans="2:5" ht="15.75" customHeight="1" x14ac:dyDescent="0.25"/>
    <row r="65" spans="2:6" ht="15.75" customHeight="1" x14ac:dyDescent="0.25">
      <c r="B65" s="7"/>
      <c r="F65" s="16"/>
    </row>
    <row r="66" spans="2:6" ht="15.75" customHeight="1" x14ac:dyDescent="0.25">
      <c r="B66" s="7"/>
      <c r="F66" s="16"/>
    </row>
    <row r="67" spans="2:6" ht="15.75" customHeight="1" x14ac:dyDescent="0.25">
      <c r="B67" s="7"/>
      <c r="F67" s="16"/>
    </row>
    <row r="68" spans="2:6" ht="15.75" customHeight="1" x14ac:dyDescent="0.25">
      <c r="B68" s="7"/>
      <c r="F68" s="16"/>
    </row>
    <row r="69" spans="2:6" ht="15.75" customHeight="1" x14ac:dyDescent="0.25"/>
    <row r="70" spans="2:6" ht="15.75" customHeight="1" x14ac:dyDescent="0.25"/>
    <row r="71" spans="2:6" ht="15.75" customHeight="1" x14ac:dyDescent="0.25"/>
    <row r="72" spans="2:6" ht="15.75" customHeight="1" x14ac:dyDescent="0.25"/>
    <row r="73" spans="2:6" ht="15.75" customHeight="1" x14ac:dyDescent="0.25"/>
    <row r="74" spans="2:6" ht="15.75" customHeight="1" x14ac:dyDescent="0.25"/>
    <row r="75" spans="2:6" ht="15.75" customHeight="1" x14ac:dyDescent="0.25"/>
    <row r="76" spans="2:6" ht="15.75" customHeight="1" x14ac:dyDescent="0.25"/>
    <row r="77" spans="2:6" ht="15.75" customHeight="1" x14ac:dyDescent="0.25"/>
    <row r="78" spans="2:6" ht="15.75" customHeight="1" x14ac:dyDescent="0.25"/>
    <row r="79" spans="2:6" ht="15.75" customHeight="1" x14ac:dyDescent="0.25"/>
    <row r="80" spans="2:6"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Environment Model-Dollar</vt:lpstr>
      <vt:lpstr>Environment Model-Emission</vt:lpstr>
      <vt:lpstr>Description</vt:lpstr>
      <vt:lpstr>'Environment Model-Dollar'!solver_adj</vt:lpstr>
      <vt:lpstr>'Environment Model-Dollar'!solver_lhs1</vt:lpstr>
      <vt:lpstr>'Environment Model-Dollar'!solver_lhs2</vt:lpstr>
      <vt:lpstr>'Environment Model-Dollar'!solver_opt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Matthews, Terri</dc:creator>
  <cp:lastModifiedBy>Matthews, Terri</cp:lastModifiedBy>
  <cp:lastPrinted>2023-05-17T21:39:52Z</cp:lastPrinted>
  <dcterms:created xsi:type="dcterms:W3CDTF">2023-05-16T17:35:23Z</dcterms:created>
  <dcterms:modified xsi:type="dcterms:W3CDTF">2023-05-17T21:40:49Z</dcterms:modified>
</cp:coreProperties>
</file>